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790" windowHeight="6330" activeTab="0"/>
  </bookViews>
  <sheets>
    <sheet name="Linhas de Transmissão" sheetId="1" r:id="rId1"/>
  </sheets>
  <definedNames/>
  <calcPr fullCalcOnLoad="1"/>
</workbook>
</file>

<file path=xl/sharedStrings.xml><?xml version="1.0" encoding="utf-8"?>
<sst xmlns="http://schemas.openxmlformats.org/spreadsheetml/2006/main" count="203" uniqueCount="123">
  <si>
    <t>email Mike: m9bw990@ix.netcom.com</t>
  </si>
  <si>
    <t>------&gt;</t>
  </si>
  <si>
    <t>R(s)</t>
  </si>
  <si>
    <t>R(p)</t>
  </si>
  <si>
    <t>X(s)</t>
  </si>
  <si>
    <t>X(p)</t>
  </si>
  <si>
    <t>L (uH)</t>
  </si>
  <si>
    <t>R num</t>
  </si>
  <si>
    <t>R(L)</t>
  </si>
  <si>
    <t>R(in)</t>
  </si>
  <si>
    <t>R(in/p)</t>
  </si>
  <si>
    <t>R/X den</t>
  </si>
  <si>
    <t>X(L)</t>
  </si>
  <si>
    <t>X(in)</t>
  </si>
  <si>
    <t>X(in/p)</t>
  </si>
  <si>
    <t>X num</t>
  </si>
  <si>
    <t>Rad(L)</t>
  </si>
  <si>
    <t>A(swr)</t>
  </si>
  <si>
    <t>B(swr)</t>
  </si>
  <si>
    <t>Zo =</t>
  </si>
  <si>
    <t xml:space="preserve">Z1 = </t>
  </si>
  <si>
    <t>L1 (Zo) = Atn(C22)</t>
  </si>
  <si>
    <t>AA3RL - Calculador para Linhas de Transmissão</t>
  </si>
  <si>
    <t>Dados de Saída</t>
  </si>
  <si>
    <t>Comprimento de Onda</t>
  </si>
  <si>
    <t>Fator de Velocidade</t>
  </si>
  <si>
    <t>Dados de Entrada</t>
  </si>
  <si>
    <t>Comprimento (m):</t>
  </si>
  <si>
    <t>Graus</t>
  </si>
  <si>
    <t>Comprimento (m)</t>
  </si>
  <si>
    <t>Fração de Onda</t>
  </si>
  <si>
    <t>Freq (MHz)</t>
  </si>
  <si>
    <t>Impedância Série Z (R +/- jX)</t>
  </si>
  <si>
    <t>Equivalente Paralelo (R +/- jX)</t>
  </si>
  <si>
    <t>Impedância Paralela Z (R +/- jX)</t>
  </si>
  <si>
    <t>Equivalente Série (R +/- jX)</t>
  </si>
  <si>
    <t>Reatância Indut. (+X)</t>
  </si>
  <si>
    <t>Reatância Capac. (-X)</t>
  </si>
  <si>
    <t>Indutância (uH)</t>
  </si>
  <si>
    <t>Capacitância (uF)</t>
  </si>
  <si>
    <t>Capacitância (pF)</t>
  </si>
  <si>
    <t>A fórmula é uma aproximação grosseira para F &lt; 10 MHz e Comprimento &gt; 0.67*Raio</t>
  </si>
  <si>
    <t>Raio (cm)</t>
  </si>
  <si>
    <t>Comprimento (cm)</t>
  </si>
  <si>
    <t>(*) Foi feita a adaptação da mesma para medidas SI em cm, já que o original utilizava polegadas</t>
  </si>
  <si>
    <t>Reatância</t>
  </si>
  <si>
    <t>Dados do Toco</t>
  </si>
  <si>
    <t>X (aberto)</t>
  </si>
  <si>
    <t>X (em curto)</t>
  </si>
  <si>
    <t>Freq (MHz):</t>
  </si>
  <si>
    <t>Z (linha) - resistivo</t>
  </si>
  <si>
    <t>Reatância Desejada</t>
  </si>
  <si>
    <t>Toco Necesário</t>
  </si>
  <si>
    <t>Reat. Indutiva (+jX)</t>
  </si>
  <si>
    <t>Reat. Capacitiva (-jX)</t>
  </si>
  <si>
    <t>Factor de Velocidade</t>
  </si>
  <si>
    <t>Comprim. (em aberto)</t>
  </si>
  <si>
    <t>Comprim. (em curto)</t>
  </si>
  <si>
    <t>metros</t>
  </si>
  <si>
    <t>graus</t>
  </si>
  <si>
    <t>Ohms</t>
  </si>
  <si>
    <t>Comprimento (graus)</t>
  </si>
  <si>
    <t>Ant/Carga Z (R +/- jX)</t>
  </si>
  <si>
    <t>Compr. Linha (graus)</t>
  </si>
  <si>
    <t>Linha Zo (só R)</t>
  </si>
  <si>
    <t>Impedância Z em qualquer ponto singelo ao longo da linha sem perdas :</t>
  </si>
  <si>
    <t>Linha/Entr. Z (R +/- jX)</t>
  </si>
  <si>
    <t>Z Paralelo Equivalente</t>
  </si>
  <si>
    <t>ROE</t>
  </si>
  <si>
    <t>Comprim. Linha ( º )</t>
  </si>
  <si>
    <t>Valores Série</t>
  </si>
  <si>
    <t>Equivalentes Paralelo</t>
  </si>
  <si>
    <t>C (rad)</t>
  </si>
  <si>
    <t>Z Linha (R)</t>
  </si>
  <si>
    <t>Z Linha (X)</t>
  </si>
  <si>
    <t>Valores</t>
  </si>
  <si>
    <t>Numerador</t>
  </si>
  <si>
    <t>Denominador</t>
  </si>
  <si>
    <t>L1 Graus</t>
  </si>
  <si>
    <t>L1 Graus se neg</t>
  </si>
  <si>
    <t>L1 Escolha Real</t>
  </si>
  <si>
    <t>Linha Primária</t>
  </si>
  <si>
    <t>Frequência de</t>
  </si>
  <si>
    <t>Operação MHz.</t>
  </si>
  <si>
    <t>Normalizado</t>
  </si>
  <si>
    <t>L2</t>
  </si>
  <si>
    <t>L1</t>
  </si>
  <si>
    <t>L2 Radianos</t>
  </si>
  <si>
    <t>Num / Den</t>
  </si>
  <si>
    <t>Comprimento 1</t>
  </si>
  <si>
    <t>Comprimento 2</t>
  </si>
  <si>
    <t>n = Z1 / Zo</t>
  </si>
  <si>
    <t>r = R / Zo</t>
  </si>
  <si>
    <t>x = X / Zo</t>
  </si>
  <si>
    <t>L3 = Qualquer comprimento (da linha Zo) desde L2 até a Fonte</t>
  </si>
  <si>
    <t>L2 = Segundo comprimento (à partir da antena) da linha Z1</t>
  </si>
  <si>
    <t>L1 = Primeiro comprimento (à partir da antena) da linha Zo</t>
  </si>
  <si>
    <t>Fator de velocidade</t>
  </si>
  <si>
    <r>
      <t>NOTA :</t>
    </r>
    <r>
      <rPr>
        <sz val="10"/>
        <rFont val="Arial"/>
        <family val="0"/>
      </rPr>
      <t xml:space="preserve"> o toco de linha aberta simula um capacitor</t>
    </r>
  </si>
  <si>
    <r>
      <t>NOTA :</t>
    </r>
    <r>
      <rPr>
        <sz val="10"/>
        <rFont val="Arial"/>
        <family val="0"/>
      </rPr>
      <t xml:space="preserve"> o toco de linha em curto simula um indutor</t>
    </r>
  </si>
  <si>
    <t>Freq. (MHz)</t>
  </si>
  <si>
    <t>_________________________________________________________________________________________________________________________________________________________________________________________</t>
  </si>
  <si>
    <t>Atenção : Não utilize para construção real de bobinas !</t>
  </si>
  <si>
    <r>
      <t xml:space="preserve">***  O Comprimento do "toco" </t>
    </r>
    <r>
      <rPr>
        <b/>
        <sz val="10"/>
        <rFont val="Arial"/>
        <family val="2"/>
      </rPr>
      <t>DEVERÁ</t>
    </r>
    <r>
      <rPr>
        <sz val="10"/>
        <rFont val="Arial"/>
        <family val="2"/>
      </rPr>
      <t xml:space="preserve"> sempre ser menor que 1/4 de onda (90 graus) para ter-se precisão ***</t>
    </r>
  </si>
  <si>
    <t>Inform. Complem.</t>
  </si>
  <si>
    <t>Dados Auxiliares ( não alterar )</t>
  </si>
  <si>
    <t>Indutância (nH)</t>
  </si>
  <si>
    <t>Transformações em Equivalentes Série / Paralelo :</t>
  </si>
  <si>
    <r>
      <t>NOTA :</t>
    </r>
    <r>
      <rPr>
        <i/>
        <sz val="10"/>
        <color indexed="10"/>
        <rFont val="Arial"/>
        <family val="2"/>
      </rPr>
      <t xml:space="preserve"> O resultado </t>
    </r>
    <r>
      <rPr>
        <b/>
        <i/>
        <sz val="10"/>
        <color indexed="10"/>
        <rFont val="Arial"/>
        <family val="2"/>
      </rPr>
      <t>NÃO</t>
    </r>
    <r>
      <rPr>
        <i/>
        <sz val="10"/>
        <color indexed="10"/>
        <rFont val="Arial"/>
        <family val="2"/>
      </rPr>
      <t xml:space="preserve"> é preciso se Comprimento &gt; 90 graus ( 1/4 de onda )</t>
    </r>
  </si>
  <si>
    <t>Capacitância e Indutância necesárias para Reatância = X :</t>
  </si>
  <si>
    <t>Construção de Bobina - Enrolamento à Ar (*) :</t>
  </si>
  <si>
    <t>Impedância Z em um ciclo de 180º sobre uma linha de transmissão sem perdas :</t>
  </si>
  <si>
    <t>Casamento de Impedância com Seção de Transformador de Linha Série :</t>
  </si>
  <si>
    <t>Graus Elétricos</t>
  </si>
  <si>
    <t>Altere somente as células com fundo cinza nos dados de entrada ( as fórmulas e demais células estão protegidas )</t>
  </si>
  <si>
    <t>Reatância de techos ("tocos")  de Linhas de Transmissão :</t>
  </si>
  <si>
    <r>
      <t>* Atenção :</t>
    </r>
    <r>
      <rPr>
        <i/>
        <sz val="10"/>
        <color indexed="10"/>
        <rFont val="Arial"/>
        <family val="2"/>
      </rPr>
      <t xml:space="preserve"> Válido somente para linhas sem perdas. Para linhas com perdas (alto ROE ou longas), valide os dados de saída com TLA.</t>
    </r>
  </si>
  <si>
    <t>Linha de Acoplamento</t>
  </si>
  <si>
    <t>Conversões : Comprimento de Onda, Ângulos em Graus, Metros :</t>
  </si>
  <si>
    <t>Número de Espiras</t>
  </si>
  <si>
    <t>TLCalc1_pt.xls</t>
  </si>
  <si>
    <t>Rev. 29-jul-2002</t>
  </si>
  <si>
    <t>Traduzido e adaptado para a língua portuguesa e medidas do Brasil por Airo - PY5IE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</si>
</sst>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0.00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0"/>
    </font>
    <font>
      <i/>
      <u val="single"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Black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50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71" fontId="0" fillId="0" borderId="0" xfId="0" applyNumberFormat="1" applyBorder="1" applyAlignment="1" applyProtection="1">
      <alignment horizontal="center"/>
      <protection locked="0"/>
    </xf>
    <xf numFmtId="170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15" fillId="4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right"/>
    </xf>
    <xf numFmtId="0" fontId="0" fillId="4" borderId="16" xfId="0" applyFill="1" applyBorder="1" applyAlignment="1">
      <alignment/>
    </xf>
    <xf numFmtId="0" fontId="6" fillId="4" borderId="21" xfId="0" applyNumberFormat="1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6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="80" zoomScaleNormal="80" workbookViewId="0" topLeftCell="A1">
      <selection activeCell="B9" sqref="B9"/>
    </sheetView>
  </sheetViews>
  <sheetFormatPr defaultColWidth="9.140625" defaultRowHeight="12.75"/>
  <cols>
    <col min="1" max="1" width="19.7109375" style="3" customWidth="1"/>
    <col min="2" max="2" width="11.28125" style="3" customWidth="1"/>
    <col min="3" max="3" width="6.7109375" style="3" customWidth="1"/>
    <col min="4" max="4" width="20.8515625" style="3" customWidth="1"/>
    <col min="5" max="5" width="10.00390625" style="3" customWidth="1"/>
    <col min="6" max="6" width="9.140625" style="3" customWidth="1"/>
    <col min="7" max="7" width="8.8515625" style="3" customWidth="1"/>
    <col min="8" max="8" width="11.00390625" style="3" bestFit="1" customWidth="1"/>
    <col min="9" max="9" width="14.57421875" style="3" bestFit="1" customWidth="1"/>
    <col min="10" max="10" width="11.00390625" style="3" bestFit="1" customWidth="1"/>
    <col min="11" max="11" width="11.57421875" style="3" bestFit="1" customWidth="1"/>
    <col min="12" max="16384" width="9.140625" style="3" customWidth="1"/>
  </cols>
  <sheetData>
    <row r="1" spans="1:11" s="1" customFormat="1" ht="12.75">
      <c r="A1" s="32" t="s">
        <v>120</v>
      </c>
      <c r="B1" s="141"/>
      <c r="C1" s="141"/>
      <c r="D1" s="141" t="s">
        <v>121</v>
      </c>
      <c r="E1" s="141"/>
      <c r="F1" s="141"/>
      <c r="G1" s="33"/>
      <c r="H1" s="33"/>
      <c r="I1" s="141" t="s">
        <v>0</v>
      </c>
      <c r="J1" s="141"/>
      <c r="K1" s="141"/>
    </row>
    <row r="2" spans="1:11" ht="14.25" customHeight="1">
      <c r="A2" s="145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18">
      <c r="A3" s="148" t="s">
        <v>22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22.5" customHeight="1">
      <c r="A4" s="142" t="s">
        <v>114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1" ht="15.75">
      <c r="A5" s="116" t="s">
        <v>118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12.75">
      <c r="A6" s="35"/>
      <c r="H6" s="2"/>
      <c r="I6" s="2"/>
      <c r="J6" s="2"/>
      <c r="K6" s="36"/>
    </row>
    <row r="7" spans="1:11" ht="12.75">
      <c r="A7" s="112" t="s">
        <v>26</v>
      </c>
      <c r="B7" s="111"/>
      <c r="D7" s="70" t="s">
        <v>23</v>
      </c>
      <c r="E7" s="111"/>
      <c r="H7" s="2"/>
      <c r="I7" s="2"/>
      <c r="J7" s="2"/>
      <c r="K7" s="36"/>
    </row>
    <row r="8" spans="1:11" s="63" customFormat="1" ht="12.75">
      <c r="A8" s="60"/>
      <c r="B8" s="61"/>
      <c r="D8" s="61"/>
      <c r="E8" s="61"/>
      <c r="H8" s="64"/>
      <c r="I8" s="64"/>
      <c r="J8" s="64"/>
      <c r="K8" s="65"/>
    </row>
    <row r="9" spans="1:11" ht="15">
      <c r="A9" s="35" t="s">
        <v>24</v>
      </c>
      <c r="B9" s="51">
        <v>0.5</v>
      </c>
      <c r="C9" s="30" t="s">
        <v>1</v>
      </c>
      <c r="D9" s="3" t="s">
        <v>29</v>
      </c>
      <c r="E9" s="7">
        <f>299.79248*B9*B11/B10</f>
        <v>16.70272388571429</v>
      </c>
      <c r="H9" s="2"/>
      <c r="I9" s="2"/>
      <c r="J9" s="2"/>
      <c r="K9" s="36"/>
    </row>
    <row r="10" spans="1:11" ht="12.75">
      <c r="A10" s="35" t="s">
        <v>31</v>
      </c>
      <c r="B10" s="51">
        <v>7</v>
      </c>
      <c r="D10" s="3" t="s">
        <v>113</v>
      </c>
      <c r="E10" s="7">
        <f>B9*360</f>
        <v>180</v>
      </c>
      <c r="H10" s="2"/>
      <c r="I10" s="2"/>
      <c r="J10" s="2"/>
      <c r="K10" s="36"/>
    </row>
    <row r="11" spans="1:11" ht="12.75">
      <c r="A11" s="35" t="s">
        <v>25</v>
      </c>
      <c r="B11" s="52">
        <v>0.78</v>
      </c>
      <c r="E11" s="9"/>
      <c r="H11" s="2"/>
      <c r="I11" s="2"/>
      <c r="J11" s="2"/>
      <c r="K11" s="36"/>
    </row>
    <row r="12" spans="1:11" ht="12.75">
      <c r="A12" s="35"/>
      <c r="B12" s="8"/>
      <c r="E12" s="9"/>
      <c r="H12" s="2"/>
      <c r="I12" s="2"/>
      <c r="J12" s="2"/>
      <c r="K12" s="36"/>
    </row>
    <row r="13" spans="1:11" ht="15">
      <c r="A13" s="35" t="s">
        <v>28</v>
      </c>
      <c r="B13" s="51">
        <v>56</v>
      </c>
      <c r="C13" s="30" t="s">
        <v>1</v>
      </c>
      <c r="D13" s="3" t="s">
        <v>29</v>
      </c>
      <c r="E13" s="7">
        <f>0.3048*(B13*B15)/(B14*0.366013)</f>
        <v>6.26315511946239</v>
      </c>
      <c r="H13" s="2"/>
      <c r="I13" s="2"/>
      <c r="J13" s="2"/>
      <c r="K13" s="36"/>
    </row>
    <row r="14" spans="1:11" ht="12.75">
      <c r="A14" s="35" t="s">
        <v>31</v>
      </c>
      <c r="B14" s="51">
        <v>7.148</v>
      </c>
      <c r="D14" s="3" t="s">
        <v>30</v>
      </c>
      <c r="E14" s="10">
        <f>B13/360</f>
        <v>0.15555555555555556</v>
      </c>
      <c r="H14" s="2"/>
      <c r="I14" s="2"/>
      <c r="J14" s="2"/>
      <c r="K14" s="36"/>
    </row>
    <row r="15" spans="1:11" ht="12.75">
      <c r="A15" s="35" t="s">
        <v>25</v>
      </c>
      <c r="B15" s="52">
        <v>0.96</v>
      </c>
      <c r="E15" s="9"/>
      <c r="H15" s="2"/>
      <c r="I15" s="2"/>
      <c r="J15" s="2"/>
      <c r="K15" s="36"/>
    </row>
    <row r="16" spans="1:11" ht="12.75">
      <c r="A16" s="35"/>
      <c r="E16" s="9"/>
      <c r="H16" s="2"/>
      <c r="I16" s="2"/>
      <c r="J16" s="2"/>
      <c r="K16" s="36"/>
    </row>
    <row r="17" spans="1:11" ht="15">
      <c r="A17" s="35" t="s">
        <v>29</v>
      </c>
      <c r="B17" s="51">
        <v>13.7</v>
      </c>
      <c r="C17" s="30" t="s">
        <v>1</v>
      </c>
      <c r="D17" s="3" t="s">
        <v>24</v>
      </c>
      <c r="E17" s="7">
        <f>B17*B18/(299.79248*B19)</f>
        <v>0.39010724856138856</v>
      </c>
      <c r="H17" s="2"/>
      <c r="I17" s="2"/>
      <c r="J17" s="2"/>
      <c r="K17" s="36"/>
    </row>
    <row r="18" spans="1:11" ht="12.75">
      <c r="A18" s="35" t="s">
        <v>31</v>
      </c>
      <c r="B18" s="51">
        <v>7</v>
      </c>
      <c r="C18" s="11"/>
      <c r="D18" s="3" t="s">
        <v>28</v>
      </c>
      <c r="E18" s="12">
        <f>E17*360</f>
        <v>140.43860948209988</v>
      </c>
      <c r="H18" s="2"/>
      <c r="I18" s="2"/>
      <c r="J18" s="2"/>
      <c r="K18" s="36"/>
    </row>
    <row r="19" spans="1:11" ht="12.75">
      <c r="A19" s="35" t="s">
        <v>25</v>
      </c>
      <c r="B19" s="52">
        <v>0.82</v>
      </c>
      <c r="E19" s="1"/>
      <c r="H19" s="2"/>
      <c r="I19" s="2"/>
      <c r="J19" s="2"/>
      <c r="K19" s="36"/>
    </row>
    <row r="20" spans="1:11" ht="15.75">
      <c r="A20" s="138" t="s">
        <v>101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40"/>
    </row>
    <row r="21" spans="1:11" ht="15.75">
      <c r="A21" s="116" t="s">
        <v>107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8"/>
    </row>
    <row r="22" spans="1:11" ht="12.75">
      <c r="A22" s="35"/>
      <c r="H22" s="2"/>
      <c r="I22" s="2"/>
      <c r="J22" s="2"/>
      <c r="K22" s="36"/>
    </row>
    <row r="23" spans="1:11" ht="12.75">
      <c r="A23" s="112" t="s">
        <v>26</v>
      </c>
      <c r="B23" s="111"/>
      <c r="D23" s="70" t="s">
        <v>23</v>
      </c>
      <c r="E23" s="111"/>
      <c r="H23" s="2"/>
      <c r="I23" s="2"/>
      <c r="J23" s="2"/>
      <c r="K23" s="36"/>
    </row>
    <row r="24" spans="1:11" s="63" customFormat="1" ht="12.75">
      <c r="A24" s="60"/>
      <c r="B24" s="61"/>
      <c r="D24" s="61"/>
      <c r="E24" s="61"/>
      <c r="H24" s="64"/>
      <c r="I24" s="64"/>
      <c r="J24" s="64"/>
      <c r="K24" s="65"/>
    </row>
    <row r="25" spans="1:11" ht="12.75">
      <c r="A25" s="113" t="s">
        <v>32</v>
      </c>
      <c r="B25" s="114"/>
      <c r="D25" s="115" t="s">
        <v>33</v>
      </c>
      <c r="E25" s="115"/>
      <c r="H25" s="2"/>
      <c r="I25" s="2"/>
      <c r="J25" s="2"/>
      <c r="K25" s="36"/>
    </row>
    <row r="26" spans="1:14" ht="16.5">
      <c r="A26" s="35" t="s">
        <v>2</v>
      </c>
      <c r="B26" s="52">
        <v>77.5</v>
      </c>
      <c r="C26" s="30" t="s">
        <v>1</v>
      </c>
      <c r="D26" s="3" t="s">
        <v>3</v>
      </c>
      <c r="E26" s="13">
        <f>(B26^2+B27^2)/B26</f>
        <v>134.3898064516129</v>
      </c>
      <c r="H26" s="2"/>
      <c r="I26" s="2"/>
      <c r="J26" s="2"/>
      <c r="K26" s="37"/>
      <c r="L26" s="11"/>
      <c r="N26" s="4"/>
    </row>
    <row r="27" spans="1:15" ht="16.5">
      <c r="A27" s="35" t="s">
        <v>4</v>
      </c>
      <c r="B27" s="52">
        <v>-66.4</v>
      </c>
      <c r="C27" s="30" t="s">
        <v>1</v>
      </c>
      <c r="D27" s="3" t="s">
        <v>5</v>
      </c>
      <c r="E27" s="13">
        <f>(B26^2+B27^2)/B27</f>
        <v>-156.85557228915664</v>
      </c>
      <c r="H27" s="2"/>
      <c r="I27" s="2"/>
      <c r="J27" s="2"/>
      <c r="K27" s="37"/>
      <c r="L27" s="11"/>
      <c r="N27" s="4"/>
      <c r="O27" s="8"/>
    </row>
    <row r="28" spans="1:15" ht="15.75">
      <c r="A28" s="35"/>
      <c r="E28" s="4"/>
      <c r="H28" s="2"/>
      <c r="I28" s="2"/>
      <c r="J28" s="2"/>
      <c r="K28" s="36"/>
      <c r="O28" s="8"/>
    </row>
    <row r="29" spans="1:11" ht="15.75" customHeight="1">
      <c r="A29" s="113" t="s">
        <v>34</v>
      </c>
      <c r="B29" s="114"/>
      <c r="D29" s="115" t="s">
        <v>35</v>
      </c>
      <c r="E29" s="115"/>
      <c r="H29" s="2"/>
      <c r="I29" s="2"/>
      <c r="J29" s="2"/>
      <c r="K29" s="36"/>
    </row>
    <row r="30" spans="1:11" ht="15">
      <c r="A30" s="35" t="s">
        <v>3</v>
      </c>
      <c r="B30" s="52">
        <v>425</v>
      </c>
      <c r="C30" s="30" t="s">
        <v>1</v>
      </c>
      <c r="D30" s="3" t="s">
        <v>2</v>
      </c>
      <c r="E30" s="7">
        <f>(B30*B31^2)/(B30^2+B31^2)</f>
        <v>25</v>
      </c>
      <c r="H30" s="2"/>
      <c r="I30" s="2"/>
      <c r="J30" s="2"/>
      <c r="K30" s="36"/>
    </row>
    <row r="31" spans="1:11" ht="15">
      <c r="A31" s="35" t="s">
        <v>5</v>
      </c>
      <c r="B31" s="52">
        <v>-106.25</v>
      </c>
      <c r="C31" s="30" t="s">
        <v>1</v>
      </c>
      <c r="D31" s="3" t="s">
        <v>4</v>
      </c>
      <c r="E31" s="7">
        <f>(B30^2*B31)/(B30^2+B31^2)</f>
        <v>-100</v>
      </c>
      <c r="H31" s="2"/>
      <c r="I31" s="2"/>
      <c r="J31" s="2"/>
      <c r="K31" s="36"/>
    </row>
    <row r="32" spans="1:11" ht="12.75">
      <c r="A32" s="35"/>
      <c r="H32" s="2"/>
      <c r="I32" s="2"/>
      <c r="J32" s="2"/>
      <c r="K32" s="36"/>
    </row>
    <row r="33" spans="1:11" ht="15.75">
      <c r="A33" s="116" t="s">
        <v>109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/>
    </row>
    <row r="34" spans="1:11" ht="12.75">
      <c r="A34" s="35"/>
      <c r="J34" s="2"/>
      <c r="K34" s="36"/>
    </row>
    <row r="35" spans="1:11" ht="12.75">
      <c r="A35" s="112" t="s">
        <v>26</v>
      </c>
      <c r="B35" s="111"/>
      <c r="D35" s="70" t="s">
        <v>23</v>
      </c>
      <c r="E35" s="111"/>
      <c r="J35" s="2"/>
      <c r="K35" s="36"/>
    </row>
    <row r="36" spans="1:11" s="63" customFormat="1" ht="12.75">
      <c r="A36" s="60"/>
      <c r="B36" s="61"/>
      <c r="D36" s="61"/>
      <c r="E36" s="61"/>
      <c r="J36" s="64"/>
      <c r="K36" s="65"/>
    </row>
    <row r="37" spans="1:11" ht="12.75">
      <c r="A37" s="35" t="s">
        <v>100</v>
      </c>
      <c r="B37" s="51">
        <v>3.75</v>
      </c>
      <c r="J37" s="2"/>
      <c r="K37" s="36"/>
    </row>
    <row r="38" spans="1:11" ht="12.75">
      <c r="A38" s="35"/>
      <c r="B38" s="8"/>
      <c r="J38" s="2"/>
      <c r="K38" s="36"/>
    </row>
    <row r="39" spans="1:11" ht="15">
      <c r="A39" s="35" t="s">
        <v>36</v>
      </c>
      <c r="B39" s="52">
        <v>800</v>
      </c>
      <c r="C39" s="30" t="s">
        <v>1</v>
      </c>
      <c r="D39" s="3" t="s">
        <v>38</v>
      </c>
      <c r="E39" s="7">
        <f>B39/(6.2824*B37)</f>
        <v>33.957298696888664</v>
      </c>
      <c r="J39" s="2"/>
      <c r="K39" s="36"/>
    </row>
    <row r="40" spans="1:11" ht="12.75">
      <c r="A40" s="35"/>
      <c r="C40" s="11"/>
      <c r="D40" s="3" t="s">
        <v>106</v>
      </c>
      <c r="E40" s="12">
        <f>E39*1000</f>
        <v>33957.29869688866</v>
      </c>
      <c r="J40" s="2"/>
      <c r="K40" s="36"/>
    </row>
    <row r="41" spans="1:11" ht="15">
      <c r="A41" s="35" t="s">
        <v>37</v>
      </c>
      <c r="B41" s="52">
        <v>500</v>
      </c>
      <c r="C41" s="30" t="s">
        <v>1</v>
      </c>
      <c r="D41" s="3" t="s">
        <v>39</v>
      </c>
      <c r="E41" s="14">
        <f>1/(6.2824*B37*B41)</f>
        <v>8.489324674222165E-05</v>
      </c>
      <c r="J41" s="2"/>
      <c r="K41" s="36"/>
    </row>
    <row r="42" spans="1:11" ht="12.75">
      <c r="A42" s="35"/>
      <c r="D42" s="3" t="s">
        <v>40</v>
      </c>
      <c r="E42" s="15">
        <f>E41*1000000</f>
        <v>84.89324674222165</v>
      </c>
      <c r="J42" s="2"/>
      <c r="K42" s="36"/>
    </row>
    <row r="43" spans="1:11" ht="15.75">
      <c r="A43" s="138" t="s">
        <v>101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40"/>
    </row>
    <row r="44" spans="1:11" ht="15.75">
      <c r="A44" s="116" t="s">
        <v>110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</row>
    <row r="45" spans="1:11" ht="15.75">
      <c r="A45" s="34"/>
      <c r="B45" s="2"/>
      <c r="C45" s="2"/>
      <c r="E45" s="18"/>
      <c r="H45" s="17"/>
      <c r="I45" s="2"/>
      <c r="J45" s="2"/>
      <c r="K45" s="36"/>
    </row>
    <row r="46" spans="1:11" ht="12.75">
      <c r="A46" s="112" t="s">
        <v>26</v>
      </c>
      <c r="B46" s="111"/>
      <c r="D46" s="70" t="s">
        <v>23</v>
      </c>
      <c r="E46" s="111"/>
      <c r="H46" s="17"/>
      <c r="I46" s="2"/>
      <c r="J46" s="2"/>
      <c r="K46" s="36"/>
    </row>
    <row r="47" spans="1:11" s="63" customFormat="1" ht="12.75">
      <c r="A47" s="60"/>
      <c r="B47" s="61"/>
      <c r="D47" s="61"/>
      <c r="E47" s="61"/>
      <c r="H47" s="71"/>
      <c r="I47" s="64"/>
      <c r="J47" s="64"/>
      <c r="K47" s="65"/>
    </row>
    <row r="48" spans="1:11" ht="12.75">
      <c r="A48" s="35" t="s">
        <v>6</v>
      </c>
      <c r="B48" s="54">
        <v>15</v>
      </c>
      <c r="C48" s="2"/>
      <c r="D48" s="3" t="s">
        <v>119</v>
      </c>
      <c r="E48" s="12">
        <f>SQRT(B48*(9*B49/2.54+10*B50/2.54)/(B49/2.54*B49/2.54))</f>
        <v>20.85665361461421</v>
      </c>
      <c r="H48" s="17"/>
      <c r="I48" s="2"/>
      <c r="J48" s="2"/>
      <c r="K48" s="36"/>
    </row>
    <row r="49" spans="1:11" ht="12.75">
      <c r="A49" s="35" t="s">
        <v>42</v>
      </c>
      <c r="B49" s="54">
        <v>2.54</v>
      </c>
      <c r="C49" s="2"/>
      <c r="E49" s="18"/>
      <c r="H49" s="17"/>
      <c r="I49" s="2"/>
      <c r="J49" s="2"/>
      <c r="K49" s="36"/>
    </row>
    <row r="50" spans="1:11" ht="12.75">
      <c r="A50" s="35" t="s">
        <v>43</v>
      </c>
      <c r="B50" s="54">
        <v>5.08</v>
      </c>
      <c r="C50" s="2"/>
      <c r="E50" s="18"/>
      <c r="H50" s="17"/>
      <c r="I50" s="2"/>
      <c r="J50" s="2"/>
      <c r="K50" s="36"/>
    </row>
    <row r="51" spans="1:11" ht="12.75">
      <c r="A51" s="35"/>
      <c r="B51" s="1"/>
      <c r="C51" s="2"/>
      <c r="E51" s="18"/>
      <c r="H51" s="17"/>
      <c r="I51" s="2"/>
      <c r="J51" s="2"/>
      <c r="K51" s="36"/>
    </row>
    <row r="52" spans="1:11" ht="12.75" customHeight="1">
      <c r="A52" s="119" t="s">
        <v>102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1"/>
    </row>
    <row r="53" spans="1:11" ht="12.75" customHeight="1">
      <c r="A53" s="124" t="s">
        <v>41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1" ht="12.75" customHeight="1">
      <c r="A54" s="130" t="s">
        <v>44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</row>
    <row r="55" spans="1:11" ht="12.75">
      <c r="A55" s="35"/>
      <c r="B55" s="1"/>
      <c r="C55" s="2"/>
      <c r="E55" s="16"/>
      <c r="H55" s="17"/>
      <c r="I55" s="2"/>
      <c r="J55" s="2"/>
      <c r="K55" s="36"/>
    </row>
    <row r="56" spans="1:11" ht="15.75">
      <c r="A56" s="138" t="s">
        <v>101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40"/>
    </row>
    <row r="57" spans="1:11" ht="15.75">
      <c r="A57" s="127" t="s">
        <v>115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1" ht="12.75">
      <c r="A58" s="133" t="s">
        <v>103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5"/>
    </row>
    <row r="59" spans="1:11" ht="12.75">
      <c r="A59" s="35"/>
      <c r="H59" s="2"/>
      <c r="I59" s="2"/>
      <c r="J59" s="2"/>
      <c r="K59" s="36"/>
    </row>
    <row r="60" spans="1:11" ht="12.75">
      <c r="A60" s="112" t="s">
        <v>26</v>
      </c>
      <c r="B60" s="111"/>
      <c r="D60" s="70" t="s">
        <v>23</v>
      </c>
      <c r="E60" s="111"/>
      <c r="H60" s="2"/>
      <c r="I60" s="2"/>
      <c r="J60" s="2"/>
      <c r="K60" s="36"/>
    </row>
    <row r="61" spans="1:11" ht="12.75">
      <c r="A61" s="38"/>
      <c r="B61" s="11"/>
      <c r="D61" s="5"/>
      <c r="E61" s="1"/>
      <c r="F61" s="1"/>
      <c r="H61" s="2"/>
      <c r="I61" s="2"/>
      <c r="J61" s="2"/>
      <c r="K61" s="36"/>
    </row>
    <row r="62" spans="1:11" ht="12.75">
      <c r="A62" s="56" t="s">
        <v>46</v>
      </c>
      <c r="B62" s="11"/>
      <c r="D62" s="57" t="s">
        <v>45</v>
      </c>
      <c r="E62" s="1"/>
      <c r="F62" s="1"/>
      <c r="H62" s="2"/>
      <c r="I62" s="2"/>
      <c r="J62" s="2"/>
      <c r="K62" s="36"/>
    </row>
    <row r="63" spans="1:11" ht="15">
      <c r="A63" s="35" t="s">
        <v>27</v>
      </c>
      <c r="B63" s="51">
        <v>4.176</v>
      </c>
      <c r="C63" s="30" t="s">
        <v>1</v>
      </c>
      <c r="D63" s="3" t="s">
        <v>47</v>
      </c>
      <c r="E63" s="7">
        <f>-B67/TAN(RADIANS(B63/0.3048*B65*360/(983.6*B66)))</f>
        <v>-49.99630510926665</v>
      </c>
      <c r="F63" s="1"/>
      <c r="H63" s="2"/>
      <c r="I63" s="2"/>
      <c r="J63" s="2"/>
      <c r="K63" s="36"/>
    </row>
    <row r="64" spans="1:11" ht="15">
      <c r="A64" s="35"/>
      <c r="C64" s="30" t="s">
        <v>1</v>
      </c>
      <c r="D64" s="3" t="s">
        <v>48</v>
      </c>
      <c r="E64" s="7">
        <f>B67*TAN(RADIANS(B63/0.3048*B65*360/(983.6*B66)))</f>
        <v>50.00369516379788</v>
      </c>
      <c r="F64" s="1"/>
      <c r="H64" s="2"/>
      <c r="I64" s="2"/>
      <c r="J64" s="2"/>
      <c r="K64" s="36"/>
    </row>
    <row r="65" spans="1:11" ht="12.75">
      <c r="A65" s="35" t="s">
        <v>49</v>
      </c>
      <c r="B65" s="51">
        <v>7</v>
      </c>
      <c r="D65" s="3" t="s">
        <v>61</v>
      </c>
      <c r="E65" s="7">
        <f>B63/0.3048*B65*360/(983.6*B66)</f>
        <v>45.0021170946712</v>
      </c>
      <c r="F65" s="7"/>
      <c r="H65" s="2"/>
      <c r="I65" s="2"/>
      <c r="J65" s="2"/>
      <c r="K65" s="36"/>
    </row>
    <row r="66" spans="1:11" ht="12.75">
      <c r="A66" s="35" t="s">
        <v>25</v>
      </c>
      <c r="B66" s="52">
        <v>0.78</v>
      </c>
      <c r="C66" s="157" t="s">
        <v>108</v>
      </c>
      <c r="D66" s="157"/>
      <c r="E66" s="157"/>
      <c r="F66" s="157"/>
      <c r="G66" s="157"/>
      <c r="H66" s="157"/>
      <c r="I66" s="157"/>
      <c r="J66" s="2"/>
      <c r="K66" s="36"/>
    </row>
    <row r="67" spans="1:11" ht="12.75">
      <c r="A67" s="35" t="s">
        <v>50</v>
      </c>
      <c r="B67" s="53">
        <v>50</v>
      </c>
      <c r="C67" s="3" t="s">
        <v>60</v>
      </c>
      <c r="H67" s="2"/>
      <c r="I67" s="2"/>
      <c r="J67" s="2"/>
      <c r="K67" s="36"/>
    </row>
    <row r="68" spans="1:11" ht="12.75">
      <c r="A68" s="35"/>
      <c r="H68" s="2"/>
      <c r="I68" s="2"/>
      <c r="J68" s="2"/>
      <c r="K68" s="36"/>
    </row>
    <row r="69" spans="1:11" ht="12.75">
      <c r="A69" s="56" t="s">
        <v>51</v>
      </c>
      <c r="D69" s="57" t="s">
        <v>52</v>
      </c>
      <c r="E69" s="57" t="s">
        <v>59</v>
      </c>
      <c r="F69" s="57" t="s">
        <v>58</v>
      </c>
      <c r="H69" s="2"/>
      <c r="I69" s="2"/>
      <c r="J69" s="2"/>
      <c r="K69" s="36"/>
    </row>
    <row r="70" spans="1:11" ht="15">
      <c r="A70" s="35" t="s">
        <v>54</v>
      </c>
      <c r="B70" s="53">
        <v>50</v>
      </c>
      <c r="C70" s="30" t="s">
        <v>1</v>
      </c>
      <c r="D70" s="21" t="s">
        <v>56</v>
      </c>
      <c r="E70" s="12">
        <f>DEGREES(ATAN(B74/B70))</f>
        <v>45</v>
      </c>
      <c r="F70" s="10">
        <f>E70*B73/(0.366013*B72)*0.3048</f>
        <v>4.175683065121419</v>
      </c>
      <c r="G70" s="154" t="s">
        <v>98</v>
      </c>
      <c r="H70" s="155"/>
      <c r="I70" s="155"/>
      <c r="J70" s="155"/>
      <c r="K70" s="156"/>
    </row>
    <row r="71" spans="1:11" ht="15">
      <c r="A71" s="35" t="s">
        <v>53</v>
      </c>
      <c r="B71" s="53">
        <v>50</v>
      </c>
      <c r="C71" s="30" t="s">
        <v>1</v>
      </c>
      <c r="D71" s="21" t="s">
        <v>57</v>
      </c>
      <c r="E71" s="12">
        <f>DEGREES(ATAN(B71/B74))</f>
        <v>45</v>
      </c>
      <c r="F71" s="10">
        <f>E71*B73/(0.366013*B72)*0.3048</f>
        <v>4.175683065121419</v>
      </c>
      <c r="G71" s="154" t="s">
        <v>99</v>
      </c>
      <c r="H71" s="155"/>
      <c r="I71" s="155"/>
      <c r="J71" s="155"/>
      <c r="K71" s="156"/>
    </row>
    <row r="72" spans="1:11" ht="12.75">
      <c r="A72" s="35" t="s">
        <v>100</v>
      </c>
      <c r="B72" s="51">
        <v>7</v>
      </c>
      <c r="H72" s="2"/>
      <c r="I72" s="2"/>
      <c r="J72" s="2"/>
      <c r="K72" s="36"/>
    </row>
    <row r="73" spans="1:11" ht="12.75">
      <c r="A73" s="35" t="s">
        <v>55</v>
      </c>
      <c r="B73" s="52">
        <v>0.78</v>
      </c>
      <c r="H73" s="2"/>
      <c r="I73" s="2"/>
      <c r="J73" s="2"/>
      <c r="K73" s="36"/>
    </row>
    <row r="74" spans="1:11" ht="12.75">
      <c r="A74" s="35" t="s">
        <v>50</v>
      </c>
      <c r="B74" s="53">
        <v>50</v>
      </c>
      <c r="C74" s="3" t="s">
        <v>60</v>
      </c>
      <c r="H74" s="2"/>
      <c r="I74" s="2"/>
      <c r="J74" s="2"/>
      <c r="K74" s="36"/>
    </row>
    <row r="75" spans="1:11" ht="12.75">
      <c r="A75" s="35"/>
      <c r="H75" s="2"/>
      <c r="I75" s="2"/>
      <c r="J75" s="2"/>
      <c r="K75" s="36"/>
    </row>
    <row r="76" spans="1:15" ht="15.75">
      <c r="A76" s="138" t="s">
        <v>101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40"/>
      <c r="M76" s="11"/>
      <c r="O76" s="4"/>
    </row>
    <row r="77" spans="1:15" ht="15.75">
      <c r="A77" s="116" t="s">
        <v>65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8"/>
      <c r="M77" s="11"/>
      <c r="O77" s="4"/>
    </row>
    <row r="78" spans="1:11" ht="12.75">
      <c r="A78" s="35"/>
      <c r="H78" s="2"/>
      <c r="I78" s="2"/>
      <c r="J78" s="2"/>
      <c r="K78" s="36"/>
    </row>
    <row r="79" spans="1:15" ht="12.75">
      <c r="A79" s="112" t="s">
        <v>26</v>
      </c>
      <c r="B79" s="111"/>
      <c r="D79" s="70" t="s">
        <v>23</v>
      </c>
      <c r="E79" s="62"/>
      <c r="F79" s="62"/>
      <c r="G79" s="111"/>
      <c r="I79" s="2"/>
      <c r="J79" s="103" t="s">
        <v>104</v>
      </c>
      <c r="K79" s="122"/>
      <c r="N79" s="6"/>
      <c r="O79" s="11"/>
    </row>
    <row r="80" spans="1:15" s="63" customFormat="1" ht="12.75">
      <c r="A80" s="60"/>
      <c r="B80" s="61"/>
      <c r="D80" s="61"/>
      <c r="E80" s="61"/>
      <c r="F80" s="61"/>
      <c r="G80" s="61"/>
      <c r="I80" s="64"/>
      <c r="J80" s="106"/>
      <c r="K80" s="123"/>
      <c r="N80" s="66"/>
      <c r="O80" s="67"/>
    </row>
    <row r="81" spans="1:17" ht="15.75">
      <c r="A81" s="56" t="s">
        <v>62</v>
      </c>
      <c r="B81" s="11"/>
      <c r="D81" s="3" t="s">
        <v>66</v>
      </c>
      <c r="E81" s="115" t="s">
        <v>67</v>
      </c>
      <c r="F81" s="115"/>
      <c r="G81" s="115"/>
      <c r="J81" s="93" t="s">
        <v>7</v>
      </c>
      <c r="K81" s="94">
        <f>B82*(1+TAN(K84)^2)</f>
        <v>13888.16199213753</v>
      </c>
      <c r="N81" s="6"/>
      <c r="Q81" s="22"/>
    </row>
    <row r="82" spans="1:17" ht="16.5">
      <c r="A82" s="35" t="s">
        <v>8</v>
      </c>
      <c r="B82" s="52">
        <v>61</v>
      </c>
      <c r="C82" s="30" t="s">
        <v>1</v>
      </c>
      <c r="D82" s="3" t="s">
        <v>9</v>
      </c>
      <c r="E82" s="12">
        <f>K81/K82</f>
        <v>15.954384053528525</v>
      </c>
      <c r="F82" s="3" t="s">
        <v>10</v>
      </c>
      <c r="G82" s="7">
        <f>(E82^2+E83^2)/E82</f>
        <v>50.20489745737687</v>
      </c>
      <c r="J82" s="75" t="s">
        <v>11</v>
      </c>
      <c r="K82" s="95">
        <f>(1-B83*TAN(K84)/B87)^2+(B82*TAN(K84)/B87)^2</f>
        <v>870.4918939860908</v>
      </c>
      <c r="N82" s="8"/>
      <c r="Q82" s="23"/>
    </row>
    <row r="83" spans="1:11" ht="12.75">
      <c r="A83" s="35" t="s">
        <v>12</v>
      </c>
      <c r="B83" s="52">
        <v>80</v>
      </c>
      <c r="C83" s="11"/>
      <c r="D83" s="3" t="s">
        <v>13</v>
      </c>
      <c r="E83" s="12">
        <f>K83/K82</f>
        <v>-23.376181143966246</v>
      </c>
      <c r="F83" s="3" t="s">
        <v>14</v>
      </c>
      <c r="G83" s="7">
        <f>(E82^2+E83^2)/E83</f>
        <v>-34.26514409988459</v>
      </c>
      <c r="J83" s="75" t="s">
        <v>15</v>
      </c>
      <c r="K83" s="95">
        <f>(B83*(1-TAN(K84)^2))+((B87-(B82^2+B83^2)/B87)*TAN(K84))</f>
        <v>-20348.77619817312</v>
      </c>
    </row>
    <row r="84" spans="1:11" ht="15.75" customHeight="1">
      <c r="A84" s="35" t="s">
        <v>63</v>
      </c>
      <c r="B84" s="53">
        <v>86.2</v>
      </c>
      <c r="E84" s="1"/>
      <c r="J84" s="75" t="s">
        <v>16</v>
      </c>
      <c r="K84" s="95">
        <f>RADIANS(B84)</f>
        <v>1.5044738152191122</v>
      </c>
    </row>
    <row r="85" spans="1:11" ht="12.75">
      <c r="A85" s="35" t="s">
        <v>31</v>
      </c>
      <c r="B85" s="53">
        <v>21</v>
      </c>
      <c r="D85" s="3" t="s">
        <v>68</v>
      </c>
      <c r="E85" s="7">
        <f>(K85+K86)/(K85-K86)</f>
        <v>3.8803222307694716</v>
      </c>
      <c r="J85" s="75" t="s">
        <v>17</v>
      </c>
      <c r="K85" s="95">
        <f>SQRT((E82+B87)^2+E83^2)</f>
        <v>69.97447120740435</v>
      </c>
    </row>
    <row r="86" spans="1:11" ht="12.75">
      <c r="A86" s="35" t="s">
        <v>55</v>
      </c>
      <c r="B86" s="53">
        <v>0.78</v>
      </c>
      <c r="D86" s="3" t="s">
        <v>29</v>
      </c>
      <c r="E86" s="7">
        <f>(B84*B86)/(B85*0.366013)*0.3048</f>
        <v>2.666250964544195</v>
      </c>
      <c r="J86" s="78" t="s">
        <v>18</v>
      </c>
      <c r="K86" s="96">
        <f>SQRT((E82-B87)^2+E83^2)</f>
        <v>41.29830275023606</v>
      </c>
    </row>
    <row r="87" spans="1:11" ht="12.75">
      <c r="A87" s="35" t="s">
        <v>64</v>
      </c>
      <c r="B87" s="53">
        <v>50</v>
      </c>
      <c r="E87" s="1"/>
      <c r="H87" s="2"/>
      <c r="I87" s="2"/>
      <c r="J87" s="2"/>
      <c r="K87" s="36"/>
    </row>
    <row r="88" spans="1:11" ht="12.75">
      <c r="A88" s="35"/>
      <c r="H88" s="2"/>
      <c r="I88" s="2"/>
      <c r="J88" s="2"/>
      <c r="K88" s="36"/>
    </row>
    <row r="89" spans="1:20" ht="28.5" customHeight="1">
      <c r="A89" s="109" t="s">
        <v>116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69"/>
      <c r="L89" s="11"/>
      <c r="T89" s="2"/>
    </row>
    <row r="90" spans="1:20" ht="15.75">
      <c r="A90" s="138" t="s">
        <v>101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40"/>
      <c r="M90" s="11"/>
      <c r="Q90" s="23"/>
      <c r="T90" s="2"/>
    </row>
    <row r="91" spans="1:20" ht="15.75">
      <c r="A91" s="116" t="s">
        <v>111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8"/>
      <c r="M91" s="11"/>
      <c r="Q91" s="23"/>
      <c r="T91" s="2"/>
    </row>
    <row r="92" spans="1:20" ht="15.75">
      <c r="A92" s="34"/>
      <c r="K92" s="37"/>
      <c r="T92" s="2"/>
    </row>
    <row r="93" spans="1:20" ht="12.75" customHeight="1">
      <c r="A93" s="112" t="s">
        <v>26</v>
      </c>
      <c r="B93" s="111"/>
      <c r="D93" s="70" t="s">
        <v>23</v>
      </c>
      <c r="E93" s="111"/>
      <c r="F93" s="31"/>
      <c r="G93" s="31"/>
      <c r="J93" s="136" t="s">
        <v>104</v>
      </c>
      <c r="K93" s="137"/>
      <c r="O93" s="23"/>
      <c r="S93" s="2"/>
      <c r="T93" s="2"/>
    </row>
    <row r="94" spans="1:20" ht="12.75" customHeight="1">
      <c r="A94" s="35" t="s">
        <v>62</v>
      </c>
      <c r="E94" s="1"/>
      <c r="J94" s="93" t="s">
        <v>17</v>
      </c>
      <c r="K94" s="94">
        <f>SQRT((D102+B97)^2+E102^2)</f>
        <v>136.82470537150812</v>
      </c>
      <c r="O94" s="23"/>
      <c r="S94" s="2"/>
      <c r="T94" s="2"/>
    </row>
    <row r="95" spans="1:20" ht="12.75">
      <c r="A95" s="35" t="s">
        <v>8</v>
      </c>
      <c r="B95" s="53">
        <v>61</v>
      </c>
      <c r="C95" s="11"/>
      <c r="D95" s="3" t="s">
        <v>68</v>
      </c>
      <c r="E95" s="7">
        <f>(K94+K95)/(K94-K95)</f>
        <v>3.880322230769472</v>
      </c>
      <c r="J95" s="78" t="s">
        <v>18</v>
      </c>
      <c r="K95" s="96">
        <f>SQRT((D102-B97)^2+E102^2)</f>
        <v>80.75270893288967</v>
      </c>
      <c r="R95" s="2"/>
      <c r="S95" s="2"/>
      <c r="T95" s="2"/>
    </row>
    <row r="96" spans="1:11" ht="15.75" customHeight="1">
      <c r="A96" s="35" t="s">
        <v>12</v>
      </c>
      <c r="B96" s="53">
        <v>80</v>
      </c>
      <c r="C96" s="11"/>
      <c r="E96" s="1"/>
      <c r="K96" s="36"/>
    </row>
    <row r="97" spans="1:11" ht="15.75" customHeight="1">
      <c r="A97" s="35" t="s">
        <v>50</v>
      </c>
      <c r="B97" s="53">
        <v>50</v>
      </c>
      <c r="E97" s="1"/>
      <c r="F97" s="23"/>
      <c r="K97" s="36"/>
    </row>
    <row r="98" spans="1:20" ht="15.75">
      <c r="A98" s="35"/>
      <c r="E98" s="1"/>
      <c r="K98" s="36"/>
      <c r="M98" s="24"/>
      <c r="N98" s="24"/>
      <c r="Q98" s="2"/>
      <c r="R98" s="2"/>
      <c r="S98" s="2"/>
      <c r="T98" s="2"/>
    </row>
    <row r="99" spans="1:11" ht="15.75" customHeight="1">
      <c r="A99" s="58" t="s">
        <v>23</v>
      </c>
      <c r="D99" s="59" t="s">
        <v>70</v>
      </c>
      <c r="E99" s="70" t="s">
        <v>71</v>
      </c>
      <c r="F99" s="62"/>
      <c r="G99" s="111"/>
      <c r="H99" s="103" t="s">
        <v>105</v>
      </c>
      <c r="I99" s="104"/>
      <c r="J99" s="104"/>
      <c r="K99" s="105"/>
    </row>
    <row r="100" spans="1:11" ht="15.75" customHeight="1">
      <c r="A100" s="60"/>
      <c r="B100" s="63"/>
      <c r="C100" s="63"/>
      <c r="D100" s="61"/>
      <c r="E100" s="61"/>
      <c r="F100" s="61"/>
      <c r="G100" s="61"/>
      <c r="H100" s="106"/>
      <c r="I100" s="107"/>
      <c r="J100" s="107"/>
      <c r="K100" s="108"/>
    </row>
    <row r="101" spans="1:11" ht="15.75" customHeight="1">
      <c r="A101" s="56" t="s">
        <v>69</v>
      </c>
      <c r="B101" s="20"/>
      <c r="C101" s="20"/>
      <c r="D101" s="57" t="s">
        <v>73</v>
      </c>
      <c r="E101" s="57" t="s">
        <v>74</v>
      </c>
      <c r="F101" s="57" t="s">
        <v>3</v>
      </c>
      <c r="G101" s="57" t="s">
        <v>5</v>
      </c>
      <c r="H101" s="72" t="s">
        <v>72</v>
      </c>
      <c r="I101" s="73" t="s">
        <v>7</v>
      </c>
      <c r="J101" s="73" t="s">
        <v>11</v>
      </c>
      <c r="K101" s="74" t="s">
        <v>15</v>
      </c>
    </row>
    <row r="102" spans="1:11" ht="12.75">
      <c r="A102" s="55">
        <v>0</v>
      </c>
      <c r="D102" s="12">
        <f aca="true" t="shared" si="0" ref="D102:D107">I102/J102</f>
        <v>61</v>
      </c>
      <c r="E102" s="12">
        <f aca="true" t="shared" si="1" ref="E102:E107">K102/J102</f>
        <v>80</v>
      </c>
      <c r="F102" s="25">
        <f aca="true" t="shared" si="2" ref="F102:F107">(D102^2+E102^2)/D102</f>
        <v>165.91803278688525</v>
      </c>
      <c r="G102" s="25">
        <f aca="true" t="shared" si="3" ref="G102:G107">(D102^2+E102^2)/E102</f>
        <v>126.5125</v>
      </c>
      <c r="H102" s="75">
        <f aca="true" t="shared" si="4" ref="H102:H107">RADIANS(A102)</f>
        <v>0</v>
      </c>
      <c r="I102" s="76">
        <f aca="true" t="shared" si="5" ref="I102:I107">$B$95*(1+TAN(H102)^2)</f>
        <v>61</v>
      </c>
      <c r="J102" s="76">
        <f aca="true" t="shared" si="6" ref="J102:J107">(1-$B$96*TAN(H102)/$B$97)^2+($B$95*TAN(H102)/$B$97)^2</f>
        <v>1</v>
      </c>
      <c r="K102" s="77">
        <f aca="true" t="shared" si="7" ref="K102:K107">($B$96*(1-TAN(H102)^2))+(($B$97-($B$95^2+$B$96^2)/$B$97)*TAN(H102))</f>
        <v>80</v>
      </c>
    </row>
    <row r="103" spans="1:11" ht="12.75">
      <c r="A103" s="55">
        <v>10</v>
      </c>
      <c r="D103" s="12">
        <f t="shared" si="0"/>
        <v>111.9906604477567</v>
      </c>
      <c r="E103" s="12">
        <f t="shared" si="1"/>
        <v>90.1617613534849</v>
      </c>
      <c r="F103" s="25">
        <f t="shared" si="2"/>
        <v>184.57834925913738</v>
      </c>
      <c r="G103" s="25">
        <f t="shared" si="3"/>
        <v>229.26627572020618</v>
      </c>
      <c r="H103" s="75">
        <f t="shared" si="4"/>
        <v>0.17453292519943295</v>
      </c>
      <c r="I103" s="76">
        <f t="shared" si="5"/>
        <v>62.89656345167157</v>
      </c>
      <c r="J103" s="76">
        <f t="shared" si="6"/>
        <v>0.5616232925156525</v>
      </c>
      <c r="K103" s="77">
        <f t="shared" si="7"/>
        <v>50.6369452703547</v>
      </c>
    </row>
    <row r="104" spans="1:11" ht="12.75">
      <c r="A104" s="55">
        <v>20</v>
      </c>
      <c r="D104" s="12">
        <f t="shared" si="0"/>
        <v>185.89916195653961</v>
      </c>
      <c r="E104" s="12">
        <f t="shared" si="1"/>
        <v>37.47456397863525</v>
      </c>
      <c r="F104" s="25">
        <f t="shared" si="2"/>
        <v>193.45348834837745</v>
      </c>
      <c r="G104" s="25">
        <f t="shared" si="3"/>
        <v>959.6600345246302</v>
      </c>
      <c r="H104" s="75">
        <f t="shared" si="4"/>
        <v>0.3490658503988659</v>
      </c>
      <c r="I104" s="76">
        <f t="shared" si="5"/>
        <v>69.08093421733945</v>
      </c>
      <c r="J104" s="76">
        <f t="shared" si="6"/>
        <v>0.37160433371662815</v>
      </c>
      <c r="K104" s="77">
        <f t="shared" si="7"/>
        <v>13.925710378601906</v>
      </c>
    </row>
    <row r="105" spans="1:11" ht="12.75">
      <c r="A105" s="55">
        <v>30</v>
      </c>
      <c r="D105" s="12">
        <f t="shared" si="0"/>
        <v>162.03608533241143</v>
      </c>
      <c r="E105" s="12">
        <f t="shared" si="1"/>
        <v>-69.06401912971887</v>
      </c>
      <c r="F105" s="25">
        <f t="shared" si="2"/>
        <v>191.4729772973402</v>
      </c>
      <c r="G105" s="25">
        <f t="shared" si="3"/>
        <v>-449.22858645004817</v>
      </c>
      <c r="H105" s="75">
        <f t="shared" si="4"/>
        <v>0.5235987755982988</v>
      </c>
      <c r="I105" s="76">
        <f t="shared" si="5"/>
        <v>81.33333333333333</v>
      </c>
      <c r="J105" s="76">
        <f t="shared" si="6"/>
        <v>0.5019458052598642</v>
      </c>
      <c r="K105" s="77">
        <f t="shared" si="7"/>
        <v>-34.6663946965494</v>
      </c>
    </row>
    <row r="106" spans="1:11" ht="12.75">
      <c r="A106" s="55">
        <v>40</v>
      </c>
      <c r="D106" s="12">
        <f t="shared" si="0"/>
        <v>89.20306008023253</v>
      </c>
      <c r="E106" s="12">
        <f t="shared" si="1"/>
        <v>-89.4375393078726</v>
      </c>
      <c r="F106" s="25">
        <f t="shared" si="2"/>
        <v>178.87569496801098</v>
      </c>
      <c r="G106" s="25">
        <f t="shared" si="3"/>
        <v>-178.4067348968344</v>
      </c>
      <c r="H106" s="75">
        <f t="shared" si="4"/>
        <v>0.6981317007977318</v>
      </c>
      <c r="I106" s="76">
        <f t="shared" si="5"/>
        <v>103.94937965355268</v>
      </c>
      <c r="J106" s="76">
        <f t="shared" si="6"/>
        <v>1.1653118128465185</v>
      </c>
      <c r="K106" s="77">
        <f t="shared" si="7"/>
        <v>-104.22262106738877</v>
      </c>
    </row>
    <row r="107" spans="1:11" ht="12.75">
      <c r="A107" s="55">
        <v>50</v>
      </c>
      <c r="D107" s="12">
        <f t="shared" si="0"/>
        <v>50.280990469287545</v>
      </c>
      <c r="E107" s="12">
        <f t="shared" si="1"/>
        <v>-73.31467352021855</v>
      </c>
      <c r="F107" s="25">
        <f t="shared" si="2"/>
        <v>157.18105952539332</v>
      </c>
      <c r="G107" s="25">
        <f t="shared" si="3"/>
        <v>-107.7986026053746</v>
      </c>
      <c r="H107" s="75">
        <f t="shared" si="4"/>
        <v>0.8726646259971648</v>
      </c>
      <c r="I107" s="76">
        <f t="shared" si="5"/>
        <v>147.6368741531336</v>
      </c>
      <c r="J107" s="76">
        <f t="shared" si="6"/>
        <v>2.9362363942156753</v>
      </c>
      <c r="K107" s="77">
        <f t="shared" si="7"/>
        <v>-215.26921262010598</v>
      </c>
    </row>
    <row r="108" spans="1:11" ht="12.75">
      <c r="A108" s="55">
        <v>60</v>
      </c>
      <c r="D108" s="12">
        <f aca="true" t="shared" si="8" ref="D108:D119">I108/J108</f>
        <v>32.094125585098645</v>
      </c>
      <c r="E108" s="12">
        <f aca="true" t="shared" si="9" ref="E108:E119">K108/J108</f>
        <v>-55.77001254980544</v>
      </c>
      <c r="F108" s="25">
        <f aca="true" t="shared" si="10" ref="F108:F118">(D108^2+E108^2)/D108</f>
        <v>129.00576418258615</v>
      </c>
      <c r="G108" s="25">
        <f aca="true" t="shared" si="11" ref="G108:G118">(D108^2+E108^2)/E108</f>
        <v>-74.23930904049948</v>
      </c>
      <c r="H108" s="75">
        <f aca="true" t="shared" si="12" ref="H108:H119">RADIANS(A108)</f>
        <v>1.0471975511965976</v>
      </c>
      <c r="I108" s="76">
        <f aca="true" t="shared" si="13" ref="I108:I119">$B$95*(1+TAN(H108)^2)</f>
        <v>243.9999999999999</v>
      </c>
      <c r="J108" s="76">
        <f aca="true" t="shared" si="14" ref="J108:J119">(1-$B$96*TAN(H108)/$B$97)^2+($B$95*TAN(H108)/$B$97)^2</f>
        <v>7.602637415779587</v>
      </c>
      <c r="K108" s="77">
        <f aca="true" t="shared" si="15" ref="K108:K119">($B$96*(1-TAN(H108)^2))+(($B$97-($B$95^2+$B$96^2)/$B$97)*TAN(H108))</f>
        <v>-423.999184089648</v>
      </c>
    </row>
    <row r="109" spans="1:11" ht="12.75">
      <c r="A109" s="55">
        <v>70</v>
      </c>
      <c r="D109" s="12">
        <f t="shared" si="8"/>
        <v>22.90353123201129</v>
      </c>
      <c r="E109" s="12">
        <f t="shared" si="9"/>
        <v>-41.40297592903112</v>
      </c>
      <c r="F109" s="25">
        <f t="shared" si="10"/>
        <v>97.74816538100477</v>
      </c>
      <c r="G109" s="25">
        <f t="shared" si="11"/>
        <v>-54.072880232405005</v>
      </c>
      <c r="H109" s="75">
        <f t="shared" si="12"/>
        <v>1.2217304763960306</v>
      </c>
      <c r="I109" s="76">
        <f t="shared" si="13"/>
        <v>521.4665623951946</v>
      </c>
      <c r="J109" s="76">
        <f t="shared" si="14"/>
        <v>22.767954736445315</v>
      </c>
      <c r="K109" s="77">
        <f t="shared" si="15"/>
        <v>-942.6610819063155</v>
      </c>
    </row>
    <row r="110" spans="1:11" ht="12.75">
      <c r="A110" s="55">
        <v>80</v>
      </c>
      <c r="D110" s="12">
        <f t="shared" si="8"/>
        <v>17.892512712996368</v>
      </c>
      <c r="E110" s="12">
        <f t="shared" si="9"/>
        <v>-29.695929032819734</v>
      </c>
      <c r="F110" s="25">
        <f t="shared" si="10"/>
        <v>67.17839084914706</v>
      </c>
      <c r="G110" s="25">
        <f t="shared" si="11"/>
        <v>-40.47659903074833</v>
      </c>
      <c r="H110" s="75">
        <f t="shared" si="12"/>
        <v>1.3962634015954636</v>
      </c>
      <c r="I110" s="76">
        <f t="shared" si="13"/>
        <v>2022.9696861291056</v>
      </c>
      <c r="J110" s="76">
        <f t="shared" si="14"/>
        <v>113.06235846124093</v>
      </c>
      <c r="K110" s="77">
        <f t="shared" si="15"/>
        <v>-3357.4917731482365</v>
      </c>
    </row>
    <row r="111" spans="1:11" ht="12.75">
      <c r="A111" s="55">
        <v>90</v>
      </c>
      <c r="D111" s="12">
        <f t="shared" si="8"/>
        <v>15.067681059183874</v>
      </c>
      <c r="E111" s="12">
        <f t="shared" si="9"/>
        <v>-19.760893192372297</v>
      </c>
      <c r="F111" s="25">
        <f t="shared" si="10"/>
        <v>40.98360655737705</v>
      </c>
      <c r="G111" s="25">
        <f t="shared" si="11"/>
        <v>-31.249999999999996</v>
      </c>
      <c r="H111" s="75">
        <f t="shared" si="12"/>
        <v>1.5707963267948966</v>
      </c>
      <c r="I111" s="76">
        <f t="shared" si="13"/>
        <v>1.6255951430947798E+34</v>
      </c>
      <c r="J111" s="76">
        <f t="shared" si="14"/>
        <v>1.0788621930008045E+33</v>
      </c>
      <c r="K111" s="77">
        <f t="shared" si="15"/>
        <v>-2.1319280565177446E+34</v>
      </c>
    </row>
    <row r="112" spans="1:11" ht="12.75">
      <c r="A112" s="55">
        <v>100</v>
      </c>
      <c r="D112" s="12">
        <f t="shared" si="8"/>
        <v>13.544383780841729</v>
      </c>
      <c r="E112" s="12">
        <f t="shared" si="9"/>
        <v>-10.904351248986009</v>
      </c>
      <c r="F112" s="25">
        <f t="shared" si="10"/>
        <v>22.323290085124942</v>
      </c>
      <c r="G112" s="25">
        <f t="shared" si="11"/>
        <v>-27.727941008146367</v>
      </c>
      <c r="H112" s="75">
        <f t="shared" si="12"/>
        <v>1.7453292519943295</v>
      </c>
      <c r="I112" s="76">
        <f t="shared" si="13"/>
        <v>2022.9696861291086</v>
      </c>
      <c r="J112" s="76">
        <f t="shared" si="14"/>
        <v>149.35856210679444</v>
      </c>
      <c r="K112" s="77">
        <f t="shared" si="15"/>
        <v>-1628.6582232559783</v>
      </c>
    </row>
    <row r="113" spans="1:11" ht="12.75">
      <c r="A113" s="55">
        <v>120</v>
      </c>
      <c r="D113" s="12">
        <f t="shared" si="8"/>
        <v>13.056672723680094</v>
      </c>
      <c r="E113" s="12">
        <f t="shared" si="9"/>
        <v>5.565095533558575</v>
      </c>
      <c r="F113" s="25">
        <f t="shared" si="10"/>
        <v>15.428662046922046</v>
      </c>
      <c r="G113" s="25">
        <f t="shared" si="11"/>
        <v>36.198298788612355</v>
      </c>
      <c r="H113" s="75">
        <f t="shared" si="12"/>
        <v>2.0943951023931953</v>
      </c>
      <c r="I113" s="76">
        <f t="shared" si="13"/>
        <v>244.00000000000023</v>
      </c>
      <c r="J113" s="76">
        <f t="shared" si="14"/>
        <v>18.687762584220422</v>
      </c>
      <c r="K113" s="77">
        <f t="shared" si="15"/>
        <v>103.99918408964811</v>
      </c>
    </row>
    <row r="114" spans="1:11" ht="12.75">
      <c r="A114" s="55">
        <v>130</v>
      </c>
      <c r="D114" s="12">
        <f t="shared" si="8"/>
        <v>13.97618609083299</v>
      </c>
      <c r="E114" s="12">
        <f t="shared" si="9"/>
        <v>14.012923903605161</v>
      </c>
      <c r="F114" s="25">
        <f t="shared" si="10"/>
        <v>28.025944376251296</v>
      </c>
      <c r="G114" s="25">
        <f t="shared" si="11"/>
        <v>27.952468497531</v>
      </c>
      <c r="H114" s="75">
        <f t="shared" si="12"/>
        <v>2.2689280275926285</v>
      </c>
      <c r="I114" s="76">
        <f t="shared" si="13"/>
        <v>147.6368741531336</v>
      </c>
      <c r="J114" s="76">
        <f t="shared" si="14"/>
        <v>10.563459386818622</v>
      </c>
      <c r="K114" s="77">
        <f t="shared" si="15"/>
        <v>148.024952546313</v>
      </c>
    </row>
    <row r="115" spans="1:11" ht="12.75">
      <c r="A115" s="55">
        <v>140</v>
      </c>
      <c r="D115" s="12">
        <f t="shared" si="8"/>
        <v>15.905224252519515</v>
      </c>
      <c r="E115" s="12">
        <f t="shared" si="9"/>
        <v>23.191395246113835</v>
      </c>
      <c r="F115" s="25">
        <f t="shared" si="10"/>
        <v>49.72057981886892</v>
      </c>
      <c r="G115" s="25">
        <f t="shared" si="11"/>
        <v>34.099585798613084</v>
      </c>
      <c r="H115" s="75">
        <f t="shared" si="12"/>
        <v>2.443460952792061</v>
      </c>
      <c r="I115" s="76">
        <f t="shared" si="13"/>
        <v>103.94937965355273</v>
      </c>
      <c r="J115" s="76">
        <f t="shared" si="14"/>
        <v>6.5355494523811135</v>
      </c>
      <c r="K115" s="77">
        <f t="shared" si="15"/>
        <v>151.56851050069324</v>
      </c>
    </row>
    <row r="116" spans="1:11" ht="12.75">
      <c r="A116" s="55">
        <v>150</v>
      </c>
      <c r="D116" s="12">
        <f t="shared" si="8"/>
        <v>19.378979038965014</v>
      </c>
      <c r="E116" s="12">
        <f t="shared" si="9"/>
        <v>33.67488238119492</v>
      </c>
      <c r="F116" s="25">
        <f t="shared" si="10"/>
        <v>77.89587516167614</v>
      </c>
      <c r="G116" s="25">
        <f t="shared" si="11"/>
        <v>44.82695781657524</v>
      </c>
      <c r="H116" s="75">
        <f t="shared" si="12"/>
        <v>2.6179938779914944</v>
      </c>
      <c r="I116" s="76">
        <f t="shared" si="13"/>
        <v>81.33333333333333</v>
      </c>
      <c r="J116" s="76">
        <f t="shared" si="14"/>
        <v>4.1969875280734685</v>
      </c>
      <c r="K116" s="77">
        <f t="shared" si="15"/>
        <v>141.33306136321607</v>
      </c>
    </row>
    <row r="117" spans="1:11" ht="12.75">
      <c r="A117" s="55">
        <v>160</v>
      </c>
      <c r="D117" s="12">
        <f t="shared" si="8"/>
        <v>25.57592759163764</v>
      </c>
      <c r="E117" s="12">
        <f t="shared" si="9"/>
        <v>46.23389745941052</v>
      </c>
      <c r="F117" s="25">
        <f t="shared" si="10"/>
        <v>109.1534739632575</v>
      </c>
      <c r="G117" s="25">
        <f t="shared" si="11"/>
        <v>60.382133020709695</v>
      </c>
      <c r="H117" s="75">
        <f t="shared" si="12"/>
        <v>2.792526803190927</v>
      </c>
      <c r="I117" s="76">
        <f t="shared" si="13"/>
        <v>69.08093421733946</v>
      </c>
      <c r="J117" s="76">
        <f t="shared" si="14"/>
        <v>2.7010138330203244</v>
      </c>
      <c r="K117" s="77">
        <f t="shared" si="15"/>
        <v>124.87839659231105</v>
      </c>
    </row>
    <row r="118" spans="1:11" ht="12.75">
      <c r="A118" s="55">
        <v>170</v>
      </c>
      <c r="D118" s="12">
        <f t="shared" si="8"/>
        <v>37.21434777462733</v>
      </c>
      <c r="E118" s="12">
        <f t="shared" si="9"/>
        <v>61.764082454181924</v>
      </c>
      <c r="F118" s="25">
        <f t="shared" si="10"/>
        <v>139.72324849511526</v>
      </c>
      <c r="G118" s="25">
        <f t="shared" si="11"/>
        <v>84.1866236020775</v>
      </c>
      <c r="H118" s="75">
        <f t="shared" si="12"/>
        <v>2.9670597283903604</v>
      </c>
      <c r="I118" s="76">
        <f t="shared" si="13"/>
        <v>62.89656345167157</v>
      </c>
      <c r="J118" s="76">
        <f t="shared" si="14"/>
        <v>1.6901159690498277</v>
      </c>
      <c r="K118" s="77">
        <f t="shared" si="15"/>
        <v>104.38846206952314</v>
      </c>
    </row>
    <row r="119" spans="1:11" ht="12.75">
      <c r="A119" s="55">
        <v>180</v>
      </c>
      <c r="D119" s="12">
        <f t="shared" si="8"/>
        <v>60.99999999999997</v>
      </c>
      <c r="E119" s="12">
        <f t="shared" si="9"/>
        <v>79.99999999999997</v>
      </c>
      <c r="F119" s="25">
        <f>(D119^2+E119^2)/D119</f>
        <v>165.9180327868852</v>
      </c>
      <c r="G119" s="25">
        <f>(D119^2+E119^2)/E119</f>
        <v>126.51249999999996</v>
      </c>
      <c r="H119" s="78">
        <f t="shared" si="12"/>
        <v>3.141592653589793</v>
      </c>
      <c r="I119" s="79">
        <f t="shared" si="13"/>
        <v>61</v>
      </c>
      <c r="J119" s="79">
        <f t="shared" si="14"/>
        <v>1.0000000000000004</v>
      </c>
      <c r="K119" s="80">
        <f t="shared" si="15"/>
        <v>80.00000000000001</v>
      </c>
    </row>
    <row r="120" spans="1:11" ht="15.75">
      <c r="A120" s="35"/>
      <c r="D120" s="24"/>
      <c r="E120" s="24"/>
      <c r="F120" s="26"/>
      <c r="G120" s="26"/>
      <c r="H120" s="2"/>
      <c r="I120" s="2"/>
      <c r="J120" s="2"/>
      <c r="K120" s="40"/>
    </row>
    <row r="121" spans="1:11" ht="29.25" customHeight="1">
      <c r="A121" s="109" t="s">
        <v>116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69"/>
    </row>
    <row r="122" spans="1:11" ht="15.75">
      <c r="A122" s="138" t="s">
        <v>101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40"/>
    </row>
    <row r="123" spans="1:11" ht="15.75">
      <c r="A123" s="116" t="s">
        <v>112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8"/>
    </row>
    <row r="124" spans="1:11" ht="12.75">
      <c r="A124" s="35"/>
      <c r="K124" s="36"/>
    </row>
    <row r="125" spans="1:11" ht="12.75">
      <c r="A125" s="112" t="s">
        <v>26</v>
      </c>
      <c r="B125" s="111"/>
      <c r="D125" s="70" t="s">
        <v>23</v>
      </c>
      <c r="E125" s="62"/>
      <c r="F125" s="62"/>
      <c r="G125" s="111"/>
      <c r="H125" s="97" t="s">
        <v>105</v>
      </c>
      <c r="I125" s="98"/>
      <c r="J125" s="99"/>
      <c r="K125" s="41"/>
    </row>
    <row r="126" spans="1:11" s="63" customFormat="1" ht="12.75">
      <c r="A126" s="60"/>
      <c r="B126" s="61"/>
      <c r="D126" s="61"/>
      <c r="E126" s="61"/>
      <c r="F126" s="61"/>
      <c r="G126" s="61"/>
      <c r="H126" s="100"/>
      <c r="I126" s="101"/>
      <c r="J126" s="102"/>
      <c r="K126" s="68"/>
    </row>
    <row r="127" spans="1:11" ht="12.75">
      <c r="A127" s="56" t="s">
        <v>62</v>
      </c>
      <c r="G127" s="8"/>
      <c r="H127" s="81"/>
      <c r="I127" s="82"/>
      <c r="J127" s="83"/>
      <c r="K127" s="36"/>
    </row>
    <row r="128" spans="1:11" ht="12.75">
      <c r="A128" s="35" t="s">
        <v>8</v>
      </c>
      <c r="B128" s="48">
        <v>61</v>
      </c>
      <c r="G128" s="8"/>
      <c r="H128" s="84" t="s">
        <v>84</v>
      </c>
      <c r="I128" s="85" t="s">
        <v>91</v>
      </c>
      <c r="J128" s="86">
        <f>$B$136/$B$132</f>
        <v>9</v>
      </c>
      <c r="K128" s="36"/>
    </row>
    <row r="129" spans="1:11" ht="12.75">
      <c r="A129" s="35" t="s">
        <v>12</v>
      </c>
      <c r="B129" s="48">
        <v>80</v>
      </c>
      <c r="C129" s="8"/>
      <c r="G129" s="8"/>
      <c r="H129" s="84" t="s">
        <v>75</v>
      </c>
      <c r="I129" s="85" t="s">
        <v>92</v>
      </c>
      <c r="J129" s="86">
        <f>$B$128/$B$132</f>
        <v>1.22</v>
      </c>
      <c r="K129" s="36"/>
    </row>
    <row r="130" spans="1:11" ht="12.75">
      <c r="A130" s="35"/>
      <c r="E130" s="27" t="s">
        <v>28</v>
      </c>
      <c r="F130" s="27" t="s">
        <v>58</v>
      </c>
      <c r="H130" s="84"/>
      <c r="I130" s="85" t="s">
        <v>93</v>
      </c>
      <c r="J130" s="86">
        <f>$B$129/$B$132</f>
        <v>1.6</v>
      </c>
      <c r="K130" s="36"/>
    </row>
    <row r="131" spans="1:11" ht="15">
      <c r="A131" s="56" t="s">
        <v>81</v>
      </c>
      <c r="B131" s="30"/>
      <c r="C131" s="30" t="s">
        <v>1</v>
      </c>
      <c r="D131" s="3" t="s">
        <v>89</v>
      </c>
      <c r="E131" s="12">
        <f>J140</f>
        <v>49.58245502439531</v>
      </c>
      <c r="F131" s="7">
        <f>0.3048*(983.6/$B$140)*(E131/360)*B133</f>
        <v>4.505770501402021</v>
      </c>
      <c r="G131" s="18"/>
      <c r="H131" s="87" t="s">
        <v>85</v>
      </c>
      <c r="I131" s="85" t="s">
        <v>76</v>
      </c>
      <c r="J131" s="86">
        <f>(J129-1)^2+J130^2</f>
        <v>2.6084000000000005</v>
      </c>
      <c r="K131" s="36"/>
    </row>
    <row r="132" spans="1:11" ht="12.75">
      <c r="A132" s="35" t="s">
        <v>19</v>
      </c>
      <c r="B132" s="49">
        <v>50</v>
      </c>
      <c r="C132" s="31" t="s">
        <v>96</v>
      </c>
      <c r="D132" s="31"/>
      <c r="E132" s="31"/>
      <c r="F132" s="31"/>
      <c r="G132" s="31"/>
      <c r="H132" s="88"/>
      <c r="I132" s="85" t="s">
        <v>77</v>
      </c>
      <c r="J132" s="86">
        <f>J129*(J128-1/J128)^2-(J129-1)^2-J130^2</f>
        <v>93.78666172839507</v>
      </c>
      <c r="K132" s="36"/>
    </row>
    <row r="133" spans="1:11" ht="12.75">
      <c r="A133" s="42" t="s">
        <v>25</v>
      </c>
      <c r="B133" s="48">
        <v>0.78</v>
      </c>
      <c r="C133" s="8"/>
      <c r="E133" s="28"/>
      <c r="G133" s="8"/>
      <c r="H133" s="84"/>
      <c r="I133" s="85" t="s">
        <v>87</v>
      </c>
      <c r="J133" s="89">
        <f>ATAN(SQRT(J131/J132))</f>
        <v>0.16524870373190756</v>
      </c>
      <c r="K133" s="36"/>
    </row>
    <row r="134" spans="1:11" ht="12.75">
      <c r="A134" s="35"/>
      <c r="C134" s="8"/>
      <c r="E134" s="29" t="s">
        <v>28</v>
      </c>
      <c r="F134" s="5" t="s">
        <v>58</v>
      </c>
      <c r="G134" s="8"/>
      <c r="H134" s="87" t="s">
        <v>86</v>
      </c>
      <c r="I134" s="85" t="s">
        <v>76</v>
      </c>
      <c r="J134" s="86">
        <f>TAN(J133)*(J128-J129/J128)+J130</f>
        <v>3.0783187302726907</v>
      </c>
      <c r="K134" s="36"/>
    </row>
    <row r="135" spans="1:11" ht="15">
      <c r="A135" s="56" t="s">
        <v>117</v>
      </c>
      <c r="B135" s="30"/>
      <c r="C135" s="30" t="s">
        <v>1</v>
      </c>
      <c r="D135" s="3" t="s">
        <v>90</v>
      </c>
      <c r="E135" s="12">
        <f>DEGREES(ATAN(SQRT(J131/J132)))</f>
        <v>9.46805329384604</v>
      </c>
      <c r="F135" s="7">
        <f>0.3048*(983.6/$B$140)*(E135/360)*B137</f>
        <v>0.860402640734993</v>
      </c>
      <c r="G135" s="18"/>
      <c r="H135" s="84"/>
      <c r="I135" s="85" t="s">
        <v>77</v>
      </c>
      <c r="J135" s="86">
        <f>J129+J130*J128*TAN(J133)-1</f>
        <v>2.6214804141807555</v>
      </c>
      <c r="K135" s="36"/>
    </row>
    <row r="136" spans="1:11" ht="12.75">
      <c r="A136" s="35" t="s">
        <v>20</v>
      </c>
      <c r="B136" s="50">
        <v>450</v>
      </c>
      <c r="C136" s="31" t="s">
        <v>95</v>
      </c>
      <c r="D136" s="31"/>
      <c r="E136" s="31"/>
      <c r="F136" s="31"/>
      <c r="G136" s="31"/>
      <c r="H136" s="88"/>
      <c r="I136" s="85" t="s">
        <v>88</v>
      </c>
      <c r="J136" s="86">
        <f>J134/J135</f>
        <v>1.1742673008810949</v>
      </c>
      <c r="K136" s="36"/>
    </row>
    <row r="137" spans="1:11" ht="12.75">
      <c r="A137" s="42" t="s">
        <v>97</v>
      </c>
      <c r="B137" s="48">
        <v>0.78</v>
      </c>
      <c r="C137" s="8"/>
      <c r="G137" s="8"/>
      <c r="H137" s="84"/>
      <c r="I137" s="85" t="s">
        <v>21</v>
      </c>
      <c r="J137" s="86">
        <f>ATAN(J136)</f>
        <v>0.8653770913977035</v>
      </c>
      <c r="K137" s="36"/>
    </row>
    <row r="138" spans="1:11" ht="12.75">
      <c r="A138" s="35"/>
      <c r="E138" s="19"/>
      <c r="H138" s="84"/>
      <c r="I138" s="85" t="s">
        <v>78</v>
      </c>
      <c r="J138" s="86">
        <f>DEGREES(J137)</f>
        <v>49.58245502439531</v>
      </c>
      <c r="K138" s="36"/>
    </row>
    <row r="139" spans="1:11" ht="12.75">
      <c r="A139" s="39" t="s">
        <v>82</v>
      </c>
      <c r="C139" s="31" t="s">
        <v>94</v>
      </c>
      <c r="D139" s="31"/>
      <c r="E139" s="31"/>
      <c r="F139" s="31"/>
      <c r="G139" s="31"/>
      <c r="H139" s="88"/>
      <c r="I139" s="85" t="s">
        <v>79</v>
      </c>
      <c r="J139" s="86">
        <f>J138+180</f>
        <v>229.5824550243953</v>
      </c>
      <c r="K139" s="36"/>
    </row>
    <row r="140" spans="1:11" ht="12.75">
      <c r="A140" s="43" t="s">
        <v>83</v>
      </c>
      <c r="B140" s="47">
        <v>7.148</v>
      </c>
      <c r="C140" s="19"/>
      <c r="E140" s="19"/>
      <c r="G140" s="19"/>
      <c r="H140" s="90"/>
      <c r="I140" s="91" t="s">
        <v>80</v>
      </c>
      <c r="J140" s="92">
        <f>IF(J138&lt;0,J139,J138)</f>
        <v>49.58245502439531</v>
      </c>
      <c r="K140" s="36"/>
    </row>
    <row r="141" spans="1:11" ht="12.75">
      <c r="A141" s="35"/>
      <c r="C141" s="19"/>
      <c r="E141" s="19"/>
      <c r="G141" s="19"/>
      <c r="K141" s="36"/>
    </row>
    <row r="142" spans="1:11" ht="12.75">
      <c r="A142" s="151" t="s">
        <v>101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3"/>
    </row>
    <row r="143" spans="1:11" ht="13.5" thickBot="1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6"/>
    </row>
  </sheetData>
  <sheetProtection password="C4D2" sheet="1" objects="1" scenarios="1"/>
  <mergeCells count="56">
    <mergeCell ref="A142:K142"/>
    <mergeCell ref="A43:K43"/>
    <mergeCell ref="A56:K56"/>
    <mergeCell ref="A76:K76"/>
    <mergeCell ref="G70:K70"/>
    <mergeCell ref="C66:I66"/>
    <mergeCell ref="G71:K71"/>
    <mergeCell ref="A123:K123"/>
    <mergeCell ref="B1:C1"/>
    <mergeCell ref="D1:F1"/>
    <mergeCell ref="A5:K5"/>
    <mergeCell ref="A4:K4"/>
    <mergeCell ref="A2:K2"/>
    <mergeCell ref="A3:K3"/>
    <mergeCell ref="I1:K1"/>
    <mergeCell ref="A7:B7"/>
    <mergeCell ref="D7:E7"/>
    <mergeCell ref="A23:B23"/>
    <mergeCell ref="D23:E23"/>
    <mergeCell ref="A20:K20"/>
    <mergeCell ref="A21:K21"/>
    <mergeCell ref="A77:K77"/>
    <mergeCell ref="J93:K93"/>
    <mergeCell ref="E81:G81"/>
    <mergeCell ref="A91:K91"/>
    <mergeCell ref="D79:G79"/>
    <mergeCell ref="D93:E93"/>
    <mergeCell ref="A79:B79"/>
    <mergeCell ref="A93:B93"/>
    <mergeCell ref="A90:K90"/>
    <mergeCell ref="A54:K54"/>
    <mergeCell ref="A58:K58"/>
    <mergeCell ref="A60:B60"/>
    <mergeCell ref="D60:E60"/>
    <mergeCell ref="A33:K33"/>
    <mergeCell ref="A44:K44"/>
    <mergeCell ref="A52:K52"/>
    <mergeCell ref="J79:K80"/>
    <mergeCell ref="A53:K53"/>
    <mergeCell ref="A35:B35"/>
    <mergeCell ref="D35:E35"/>
    <mergeCell ref="A46:B46"/>
    <mergeCell ref="D46:E46"/>
    <mergeCell ref="A57:K57"/>
    <mergeCell ref="A25:B25"/>
    <mergeCell ref="D25:E25"/>
    <mergeCell ref="A29:B29"/>
    <mergeCell ref="D29:E29"/>
    <mergeCell ref="H125:J126"/>
    <mergeCell ref="H99:K100"/>
    <mergeCell ref="A121:K121"/>
    <mergeCell ref="A89:K89"/>
    <mergeCell ref="D125:G125"/>
    <mergeCell ref="A125:B125"/>
    <mergeCell ref="A122:K122"/>
    <mergeCell ref="E99:G99"/>
  </mergeCells>
  <printOptions/>
  <pageMargins left="0.27" right="0.25" top="0.45" bottom="0.41" header="0.22" footer="0.21"/>
  <pageSetup horizontalDpi="600" verticalDpi="600" orientation="landscape" paperSize="9" r:id="rId1"/>
  <headerFooter alignWithMargins="0">
    <oddHeader>&amp;L&amp;8TLCalc1.xls   Rev.3/31/99&amp;10
&amp;R&amp;8email AA3RL:   m9bw990@ix.netcom.com</oddHeader>
  </headerFooter>
  <rowBreaks count="1" manualBreakCount="1">
    <brk id="11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MORASKI</cp:lastModifiedBy>
  <cp:lastPrinted>1999-03-31T20:03:27Z</cp:lastPrinted>
  <dcterms:created xsi:type="dcterms:W3CDTF">1999-03-02T21:47:05Z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